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2020\2020 Tax Change - Normalization to Flow-through\"/>
    </mc:Choice>
  </mc:AlternateContent>
  <bookViews>
    <workbookView xWindow="-120" yWindow="-120" windowWidth="29040" windowHeight="15840"/>
  </bookViews>
  <sheets>
    <sheet name="Cover" sheetId="11" r:id="rId1"/>
    <sheet name="Exhibit A - Tax Amounts" sheetId="10" r:id="rId2"/>
    <sheet name="Table -not exhibit" sheetId="9" r:id="rId3"/>
  </sheets>
  <definedNames>
    <definedName name="_xlnm.Print_Area" localSheetId="1">'Exhibit A - Tax Amounts'!$A$1:$R$29</definedName>
    <definedName name="_xlnm.Print_Titles" localSheetId="1">'Exhibit A - Tax Amounts'!$A:$B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 i="10" l="1"/>
  <c r="F18" i="10"/>
  <c r="E18" i="10"/>
  <c r="D18" i="10"/>
  <c r="C20" i="10"/>
  <c r="C18" i="10"/>
  <c r="C6" i="10" l="1"/>
  <c r="D17" i="10" l="1"/>
  <c r="D11" i="10"/>
  <c r="D7" i="10" l="1"/>
  <c r="T19" i="10" l="1"/>
  <c r="U19" i="10"/>
  <c r="L17" i="10" l="1"/>
  <c r="M17" i="10"/>
  <c r="O17" i="10"/>
  <c r="P17" i="10" l="1"/>
  <c r="N17" i="10"/>
  <c r="C5" i="10" l="1"/>
  <c r="D5" i="10" s="1"/>
  <c r="R7" i="10"/>
  <c r="O7" i="10"/>
  <c r="M7" i="10"/>
  <c r="L7" i="10"/>
  <c r="N7" i="10" s="1"/>
  <c r="I7" i="10"/>
  <c r="G7" i="10"/>
  <c r="F7" i="10"/>
  <c r="J7" i="10" s="1"/>
  <c r="R11" i="10"/>
  <c r="O11" i="10"/>
  <c r="M11" i="10"/>
  <c r="L11" i="10"/>
  <c r="N11" i="10" s="1"/>
  <c r="I11" i="10"/>
  <c r="G11" i="10"/>
  <c r="F11" i="10"/>
  <c r="H11" i="10" s="1"/>
  <c r="P11" i="10" l="1"/>
  <c r="P7" i="10"/>
  <c r="H7" i="10"/>
  <c r="J11" i="10"/>
  <c r="T7" i="10" l="1"/>
  <c r="U7" i="10"/>
  <c r="T11" i="10"/>
  <c r="U11" i="10"/>
  <c r="C8" i="10" l="1"/>
  <c r="C16" i="10" s="1"/>
  <c r="D16" i="10" s="1"/>
  <c r="D8" i="10" l="1"/>
  <c r="C9" i="10" l="1"/>
  <c r="Q9" i="10"/>
  <c r="K9" i="10"/>
  <c r="E9" i="10"/>
  <c r="Q5" i="10"/>
  <c r="K5" i="10"/>
  <c r="E5" i="10"/>
  <c r="Q4" i="10"/>
  <c r="K4" i="10"/>
  <c r="E4" i="10"/>
  <c r="C4" i="10"/>
  <c r="D4" i="10" s="1"/>
  <c r="C10" i="10" l="1"/>
  <c r="E6" i="10"/>
  <c r="K6" i="10"/>
  <c r="Q6" i="10"/>
  <c r="D9" i="10"/>
  <c r="R4" i="10"/>
  <c r="O4" i="10"/>
  <c r="M4" i="10"/>
  <c r="L4" i="10"/>
  <c r="I4" i="10"/>
  <c r="Q8" i="10"/>
  <c r="K8" i="10"/>
  <c r="E8" i="10"/>
  <c r="E16" i="10" s="1"/>
  <c r="D6" i="10" l="1"/>
  <c r="Q10" i="10"/>
  <c r="Q16" i="10"/>
  <c r="R16" i="10" s="1"/>
  <c r="K10" i="10"/>
  <c r="K16" i="10"/>
  <c r="I16" i="10"/>
  <c r="F16" i="10"/>
  <c r="G16" i="10"/>
  <c r="D10" i="10"/>
  <c r="K9" i="9"/>
  <c r="K8" i="9"/>
  <c r="N4" i="10"/>
  <c r="P4" i="10"/>
  <c r="F4" i="10"/>
  <c r="G4" i="10"/>
  <c r="T4" i="10" s="1"/>
  <c r="E10" i="10" l="1"/>
  <c r="G10" i="10" s="1"/>
  <c r="J16" i="10"/>
  <c r="H16" i="10"/>
  <c r="O16" i="10"/>
  <c r="M16" i="10"/>
  <c r="T16" i="10" s="1"/>
  <c r="L16" i="10"/>
  <c r="J4" i="10"/>
  <c r="H4" i="10"/>
  <c r="U4" i="10" l="1"/>
  <c r="P16" i="10"/>
  <c r="N16" i="10"/>
  <c r="O9" i="10"/>
  <c r="M9" i="10"/>
  <c r="I9" i="10"/>
  <c r="G9" i="10"/>
  <c r="U16" i="10" l="1"/>
  <c r="T9" i="10"/>
  <c r="R9" i="10"/>
  <c r="L9" i="10" l="1"/>
  <c r="N9" i="10" s="1"/>
  <c r="F9" i="10"/>
  <c r="J9" i="10" l="1"/>
  <c r="H9" i="10"/>
  <c r="P9" i="10"/>
  <c r="R8" i="10"/>
  <c r="O8" i="10"/>
  <c r="M5" i="10"/>
  <c r="I5" i="10"/>
  <c r="G5" i="10"/>
  <c r="F5" i="10"/>
  <c r="J5" i="10" s="1"/>
  <c r="R5" i="10"/>
  <c r="U9" i="10" l="1"/>
  <c r="H5" i="10"/>
  <c r="G8" i="10"/>
  <c r="F8" i="10"/>
  <c r="H8" i="10" s="1"/>
  <c r="L5" i="10"/>
  <c r="O5" i="10"/>
  <c r="T5" i="10" s="1"/>
  <c r="I8" i="10" l="1"/>
  <c r="P5" i="10"/>
  <c r="N5" i="10"/>
  <c r="U5" i="10" l="1"/>
  <c r="D13" i="10" l="1"/>
  <c r="C13" i="10"/>
  <c r="C22" i="10" s="1"/>
  <c r="E20" i="10"/>
  <c r="K10" i="9"/>
  <c r="R10" i="10"/>
  <c r="R6" i="10"/>
  <c r="G6" i="10"/>
  <c r="I17" i="10"/>
  <c r="R17" i="10"/>
  <c r="Q18" i="10" l="1"/>
  <c r="K18" i="10"/>
  <c r="L18" i="10" s="1"/>
  <c r="D20" i="10"/>
  <c r="D22" i="10" s="1"/>
  <c r="I18" i="10"/>
  <c r="R18" i="10"/>
  <c r="Q20" i="10"/>
  <c r="R13" i="10"/>
  <c r="Q13" i="10"/>
  <c r="I10" i="10"/>
  <c r="L10" i="10" s="1"/>
  <c r="N10" i="10" s="1"/>
  <c r="F10" i="10"/>
  <c r="E13" i="10"/>
  <c r="E22" i="10" s="1"/>
  <c r="F6" i="10"/>
  <c r="J6" i="10" s="1"/>
  <c r="I6" i="10"/>
  <c r="F17" i="10"/>
  <c r="G17" i="10"/>
  <c r="O6" i="10"/>
  <c r="M6" i="10"/>
  <c r="L6" i="10"/>
  <c r="O10" i="10"/>
  <c r="M8" i="10"/>
  <c r="T8" i="10" s="1"/>
  <c r="L8" i="10"/>
  <c r="J8" i="10"/>
  <c r="K20" i="10" l="1"/>
  <c r="M18" i="10"/>
  <c r="Q22" i="10"/>
  <c r="O18" i="10"/>
  <c r="O20" i="10" s="1"/>
  <c r="D25" i="9" s="1"/>
  <c r="L20" i="10"/>
  <c r="D26" i="9"/>
  <c r="M20" i="10"/>
  <c r="E12" i="9"/>
  <c r="F20" i="10"/>
  <c r="P18" i="10"/>
  <c r="N18" i="10"/>
  <c r="J18" i="10"/>
  <c r="H18" i="10"/>
  <c r="G20" i="10"/>
  <c r="R20" i="10"/>
  <c r="R22" i="10" s="1"/>
  <c r="I20" i="10"/>
  <c r="J17" i="10"/>
  <c r="T17" i="10"/>
  <c r="D12" i="9"/>
  <c r="T6" i="10"/>
  <c r="M10" i="10"/>
  <c r="T10" i="10" s="1"/>
  <c r="K13" i="10"/>
  <c r="K22" i="10" s="1"/>
  <c r="G13" i="10"/>
  <c r="I13" i="10"/>
  <c r="H6" i="10"/>
  <c r="H17" i="10"/>
  <c r="J10" i="10"/>
  <c r="H10" i="10"/>
  <c r="F13" i="10"/>
  <c r="P6" i="10"/>
  <c r="N6" i="10"/>
  <c r="P10" i="10"/>
  <c r="L13" i="10"/>
  <c r="P8" i="10"/>
  <c r="O13" i="10"/>
  <c r="N8" i="10"/>
  <c r="O22" i="10" l="1"/>
  <c r="F22" i="10"/>
  <c r="T18" i="10"/>
  <c r="G22" i="10"/>
  <c r="L22" i="10"/>
  <c r="I22" i="10"/>
  <c r="D23" i="9"/>
  <c r="E26" i="9"/>
  <c r="D22" i="9"/>
  <c r="D24" i="9"/>
  <c r="D9" i="9"/>
  <c r="D8" i="9"/>
  <c r="D11" i="9"/>
  <c r="P20" i="10"/>
  <c r="U18" i="10"/>
  <c r="T20" i="10"/>
  <c r="N20" i="10"/>
  <c r="J20" i="10"/>
  <c r="H20" i="10"/>
  <c r="U17" i="10"/>
  <c r="M13" i="10"/>
  <c r="M22" i="10" s="1"/>
  <c r="U8" i="10"/>
  <c r="U10" i="10"/>
  <c r="U6" i="10"/>
  <c r="J13" i="10"/>
  <c r="H13" i="10"/>
  <c r="P13" i="10"/>
  <c r="N13" i="10"/>
  <c r="J22" i="10" l="1"/>
  <c r="H22" i="10"/>
  <c r="P22" i="10"/>
  <c r="N22" i="10"/>
  <c r="D27" i="9"/>
  <c r="E22" i="9"/>
  <c r="E24" i="9"/>
  <c r="E23" i="9"/>
  <c r="E25" i="9"/>
  <c r="E8" i="9"/>
  <c r="E10" i="9"/>
  <c r="E9" i="9"/>
  <c r="D10" i="9"/>
  <c r="D13" i="9" s="1"/>
  <c r="E11" i="9"/>
  <c r="U20" i="10"/>
  <c r="E13" i="9" l="1"/>
  <c r="E27" i="9"/>
</calcChain>
</file>

<file path=xl/sharedStrings.xml><?xml version="1.0" encoding="utf-8"?>
<sst xmlns="http://schemas.openxmlformats.org/spreadsheetml/2006/main" count="72" uniqueCount="44">
  <si>
    <t>System</t>
  </si>
  <si>
    <t>ADFIT</t>
  </si>
  <si>
    <t>Grossed-Up (Rev. Req.)</t>
  </si>
  <si>
    <t>Balance 12/31/2019</t>
  </si>
  <si>
    <t>Electric</t>
  </si>
  <si>
    <t>Gas North</t>
  </si>
  <si>
    <t>Oregon</t>
  </si>
  <si>
    <t>Electric - WA</t>
  </si>
  <si>
    <t>Electric - ID</t>
  </si>
  <si>
    <t>Gas North - WA</t>
  </si>
  <si>
    <t>Gas North - ID</t>
  </si>
  <si>
    <t>Amortization</t>
  </si>
  <si>
    <t>WA Electric</t>
  </si>
  <si>
    <t>ID Electric</t>
  </si>
  <si>
    <t>WA Natural Gas</t>
  </si>
  <si>
    <t>ID Natural Gas</t>
  </si>
  <si>
    <t>OR Natural Gas</t>
  </si>
  <si>
    <t>ADIT</t>
  </si>
  <si>
    <t>Annual Additional Amounts</t>
  </si>
  <si>
    <t>Estimated ADIT by Basis Adjustment</t>
  </si>
  <si>
    <t>IDD #5</t>
  </si>
  <si>
    <t>Meters</t>
  </si>
  <si>
    <t>Meters - Amortization</t>
  </si>
  <si>
    <t>IDD #5 - Amortization</t>
  </si>
  <si>
    <t>Meters - Excess Deferreds</t>
  </si>
  <si>
    <t>IDD #5 - Excess Deferreds</t>
  </si>
  <si>
    <t>Estimated Balance 12/31/2020</t>
  </si>
  <si>
    <t>2020 Estimated Future Annual Additions</t>
  </si>
  <si>
    <t>FN</t>
  </si>
  <si>
    <t>Meters - 2019 Only</t>
  </si>
  <si>
    <t>IDD #5 - 2019 Only</t>
  </si>
  <si>
    <t>Meters - 481(a) Prior Years</t>
  </si>
  <si>
    <t>IDD #5 - 481(a) Prior Years</t>
  </si>
  <si>
    <t>A</t>
  </si>
  <si>
    <t>B</t>
  </si>
  <si>
    <t>Proposed ADFIT Available to Flow Through</t>
  </si>
  <si>
    <t xml:space="preserve">Excess deferreds are associated with asset vintages placed in service prior to the 2018 tax reform when the statutory tax rate changed from 35% to 21%. Since the method changes include basis adjustments on prior year assets, there is an excess deferred amount associated with the new basis adjustments that is considered unprotected and can be flowed through to customers. </t>
  </si>
  <si>
    <t>Grossed-up for Federal Taxes</t>
  </si>
  <si>
    <t>The amortization amounts represent the excess book depreciation over tax depreciation taken on the basis adjustments. (Since the basis adjustment has reduced the tax basis to zero, the tax depreciation is also zero.) Under normalization, deferred tax expense is recorded on the book depreciation and reduces the deferred tax liability in FERC Account No. 282900.</t>
  </si>
  <si>
    <t>Tax Impact of Basis Adjustments (IDD #5 and Meters)</t>
  </si>
  <si>
    <t>Estimated Tax Impact of Basis Adjustments (IDD #5 and Meters)</t>
  </si>
  <si>
    <t>AVISTA</t>
  </si>
  <si>
    <t>TAX CHANGE DEFERRAL APPLICATION</t>
  </si>
  <si>
    <t>ATTACHMENT 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</si>
</sst>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409]mmmm\ d\,\ yyyy;@"/>
    <numFmt numFmtId="166" formatCode="_(&quot;$&quot;* #,##0_);_(&quot;$&quot;* \(#,##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ahoma"/>
      <family val="2"/>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 fillId="0" borderId="0"/>
  </cellStyleXfs>
  <cellXfs count="47">
    <xf numFmtId="0" fontId="0" fillId="0" borderId="0" xfId="0"/>
    <xf numFmtId="0" fontId="2" fillId="0" borderId="0" xfId="0" applyFont="1" applyAlignment="1">
      <alignment horizontal="center" wrapText="1"/>
    </xf>
    <xf numFmtId="0" fontId="2" fillId="0" borderId="0" xfId="0" applyFont="1"/>
    <xf numFmtId="164" fontId="0" fillId="0" borderId="0" xfId="1" applyNumberFormat="1" applyFont="1"/>
    <xf numFmtId="164" fontId="0" fillId="0" borderId="1" xfId="1" applyNumberFormat="1" applyFont="1" applyBorder="1"/>
    <xf numFmtId="0" fontId="0" fillId="2" borderId="5" xfId="0" applyFill="1" applyBorder="1"/>
    <xf numFmtId="0" fontId="0" fillId="2" borderId="6" xfId="0" applyFill="1" applyBorder="1"/>
    <xf numFmtId="0" fontId="0" fillId="2" borderId="7" xfId="0" applyFill="1" applyBorder="1"/>
    <xf numFmtId="0" fontId="0" fillId="2" borderId="11" xfId="0" applyFill="1" applyBorder="1"/>
    <xf numFmtId="0" fontId="0" fillId="2" borderId="12" xfId="0" applyFill="1" applyBorder="1"/>
    <xf numFmtId="165" fontId="0" fillId="2" borderId="0" xfId="0" applyNumberFormat="1" applyFill="1" applyBorder="1" applyAlignment="1">
      <alignment horizontal="center"/>
    </xf>
    <xf numFmtId="0" fontId="0" fillId="2" borderId="0" xfId="0" applyFill="1" applyBorder="1"/>
    <xf numFmtId="0" fontId="2" fillId="2" borderId="0" xfId="0" applyFont="1" applyFill="1" applyBorder="1" applyAlignment="1">
      <alignment horizontal="center" wrapText="1"/>
    </xf>
    <xf numFmtId="164" fontId="0" fillId="2" borderId="0" xfId="1" applyNumberFormat="1" applyFont="1" applyFill="1" applyBorder="1"/>
    <xf numFmtId="166" fontId="0" fillId="2" borderId="4" xfId="3" applyNumberFormat="1" applyFont="1" applyFill="1" applyBorder="1"/>
    <xf numFmtId="0" fontId="0" fillId="2" borderId="8" xfId="0" applyFill="1" applyBorder="1"/>
    <xf numFmtId="0" fontId="0" fillId="2" borderId="9" xfId="0" applyFill="1" applyBorder="1"/>
    <xf numFmtId="0" fontId="0" fillId="2" borderId="10" xfId="0" applyFill="1" applyBorder="1"/>
    <xf numFmtId="164" fontId="0" fillId="0" borderId="0" xfId="1" applyNumberFormat="1" applyFont="1" applyFill="1"/>
    <xf numFmtId="0" fontId="0" fillId="0" borderId="0" xfId="0" applyFill="1"/>
    <xf numFmtId="9" fontId="0" fillId="0" borderId="0" xfId="2" applyFont="1"/>
    <xf numFmtId="0" fontId="0" fillId="0" borderId="0" xfId="0" applyAlignment="1">
      <alignment horizontal="left" indent="1"/>
    </xf>
    <xf numFmtId="164" fontId="0" fillId="0" borderId="0" xfId="1" applyNumberFormat="1" applyFont="1" applyBorder="1"/>
    <xf numFmtId="164" fontId="0" fillId="0" borderId="13" xfId="1" applyNumberFormat="1" applyFont="1" applyBorder="1"/>
    <xf numFmtId="0" fontId="2" fillId="0" borderId="0" xfId="0" applyFont="1" applyFill="1" applyAlignment="1">
      <alignment horizontal="center"/>
    </xf>
    <xf numFmtId="0" fontId="2" fillId="0" borderId="0" xfId="0" applyFont="1" applyAlignment="1">
      <alignment horizontal="center"/>
    </xf>
    <xf numFmtId="0" fontId="0" fillId="0" borderId="0" xfId="0" applyFill="1" applyBorder="1"/>
    <xf numFmtId="166" fontId="0" fillId="0" borderId="0" xfId="3" applyNumberFormat="1" applyFont="1" applyFill="1" applyBorder="1"/>
    <xf numFmtId="164" fontId="0" fillId="0" borderId="0" xfId="1" applyNumberFormat="1" applyFont="1" applyFill="1" applyBorder="1"/>
    <xf numFmtId="0" fontId="2" fillId="0" borderId="0" xfId="0" applyFont="1" applyFill="1" applyBorder="1" applyAlignment="1">
      <alignment horizontal="center" wrapText="1"/>
    </xf>
    <xf numFmtId="0" fontId="0" fillId="0" borderId="0" xfId="0" applyAlignment="1">
      <alignment vertical="top" wrapText="1"/>
    </xf>
    <xf numFmtId="0" fontId="0" fillId="0" borderId="0" xfId="0" applyAlignment="1"/>
    <xf numFmtId="0" fontId="2" fillId="0" borderId="0" xfId="0" applyFont="1" applyAlignment="1">
      <alignment horizontal="center" vertical="top"/>
    </xf>
    <xf numFmtId="0" fontId="0" fillId="0" borderId="0" xfId="0" applyAlignment="1">
      <alignment vertical="top"/>
    </xf>
    <xf numFmtId="0" fontId="0" fillId="0" borderId="0" xfId="0" applyAlignment="1">
      <alignment horizontal="left" vertical="top" wrapText="1"/>
    </xf>
    <xf numFmtId="0" fontId="2" fillId="0" borderId="2" xfId="0" applyFont="1" applyBorder="1" applyAlignment="1">
      <alignment horizontal="center"/>
    </xf>
    <xf numFmtId="0" fontId="2" fillId="0" borderId="3" xfId="0" applyFont="1" applyBorder="1" applyAlignment="1">
      <alignment horizontal="center"/>
    </xf>
    <xf numFmtId="165" fontId="0" fillId="3" borderId="8" xfId="0" applyNumberFormat="1" applyFill="1" applyBorder="1" applyAlignment="1">
      <alignment horizontal="center"/>
    </xf>
    <xf numFmtId="165" fontId="0" fillId="3" borderId="9" xfId="0" applyNumberFormat="1" applyFill="1" applyBorder="1" applyAlignment="1">
      <alignment horizontal="center"/>
    </xf>
    <xf numFmtId="165" fontId="0" fillId="3" borderId="10" xfId="0" applyNumberFormat="1" applyFill="1" applyBorder="1" applyAlignment="1">
      <alignment horizontal="center"/>
    </xf>
    <xf numFmtId="0" fontId="0" fillId="3" borderId="5" xfId="0" applyFill="1" applyBorder="1" applyAlignment="1">
      <alignment horizontal="center" wrapText="1"/>
    </xf>
    <xf numFmtId="0" fontId="0" fillId="3" borderId="6" xfId="0" applyFill="1" applyBorder="1" applyAlignment="1">
      <alignment horizontal="center" wrapText="1"/>
    </xf>
    <xf numFmtId="0" fontId="0" fillId="3" borderId="7" xfId="0" applyFill="1" applyBorder="1" applyAlignment="1">
      <alignment horizontal="center" wrapText="1"/>
    </xf>
    <xf numFmtId="0" fontId="0" fillId="3" borderId="5" xfId="0" applyFill="1" applyBorder="1" applyAlignment="1">
      <alignment horizontal="center"/>
    </xf>
    <xf numFmtId="0" fontId="0" fillId="3" borderId="7" xfId="0" applyFill="1" applyBorder="1" applyAlignment="1">
      <alignment horizontal="center"/>
    </xf>
    <xf numFmtId="0" fontId="4" fillId="0" borderId="0" xfId="0" applyFont="1" applyAlignment="1">
      <alignment horizontal="center"/>
    </xf>
    <xf numFmtId="0" fontId="4" fillId="0" borderId="0" xfId="0" applyFont="1"/>
  </cellXfs>
  <cellStyles count="5">
    <cellStyle name="Comma" xfId="1" builtinId="3"/>
    <cellStyle name="Currency" xfId="3" builtinId="4"/>
    <cellStyle name="Normal" xfId="0" builtinId="0"/>
    <cellStyle name="Normal 2"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0:F14"/>
  <sheetViews>
    <sheetView tabSelected="1" zoomScaleNormal="100" workbookViewId="0">
      <selection activeCell="B15" sqref="B15"/>
    </sheetView>
  </sheetViews>
  <sheetFormatPr defaultRowHeight="14.4" x14ac:dyDescent="0.3"/>
  <sheetData>
    <row r="10" spans="2:6" ht="18" x14ac:dyDescent="0.35">
      <c r="B10" s="45" t="s">
        <v>41</v>
      </c>
      <c r="C10" s="45"/>
      <c r="D10" s="45"/>
      <c r="E10" s="45"/>
      <c r="F10" s="45"/>
    </row>
    <row r="11" spans="2:6" ht="18" x14ac:dyDescent="0.35">
      <c r="B11" s="46"/>
      <c r="C11" s="46"/>
      <c r="D11" s="46"/>
      <c r="E11" s="46"/>
      <c r="F11" s="46"/>
    </row>
    <row r="12" spans="2:6" ht="18" x14ac:dyDescent="0.35">
      <c r="B12" s="45" t="s">
        <v>42</v>
      </c>
      <c r="C12" s="45"/>
      <c r="D12" s="45"/>
      <c r="E12" s="45"/>
      <c r="F12" s="45"/>
    </row>
    <row r="13" spans="2:6" ht="18" x14ac:dyDescent="0.35">
      <c r="B13" s="46"/>
      <c r="C13" s="46"/>
      <c r="D13" s="46"/>
      <c r="E13" s="46"/>
      <c r="F13" s="46"/>
    </row>
    <row r="14" spans="2:6" ht="18" x14ac:dyDescent="0.35">
      <c r="B14" s="45" t="s">
        <v>43</v>
      </c>
      <c r="C14" s="45"/>
      <c r="D14" s="45"/>
      <c r="E14" s="45"/>
      <c r="F14" s="45"/>
    </row>
  </sheetData>
  <mergeCells count="3">
    <mergeCell ref="B10:F10"/>
    <mergeCell ref="B12:F12"/>
    <mergeCell ref="B14:F14"/>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zoomScaleNormal="100" workbookViewId="0">
      <pane xSplit="4" ySplit="3" topLeftCell="E4" activePane="bottomRight" state="frozen"/>
      <selection activeCell="E24" sqref="E24"/>
      <selection pane="topRight" activeCell="E24" sqref="E24"/>
      <selection pane="bottomLeft" activeCell="E24" sqref="E24"/>
      <selection pane="bottomRight"/>
    </sheetView>
  </sheetViews>
  <sheetFormatPr defaultRowHeight="14.4" outlineLevelCol="1" x14ac:dyDescent="0.3"/>
  <cols>
    <col min="1" max="1" width="5.44140625" bestFit="1" customWidth="1"/>
    <col min="2" max="2" width="29.6640625" bestFit="1" customWidth="1"/>
    <col min="3" max="3" width="15.33203125" bestFit="1" customWidth="1"/>
    <col min="4" max="4" width="18.33203125" bestFit="1" customWidth="1"/>
    <col min="5" max="5" width="15.33203125" customWidth="1" outlineLevel="1"/>
    <col min="6" max="6" width="16.5546875" bestFit="1" customWidth="1" outlineLevel="1"/>
    <col min="7" max="7" width="16.5546875" customWidth="1" outlineLevel="1"/>
    <col min="8" max="8" width="14.44140625" customWidth="1" outlineLevel="1"/>
    <col min="9" max="9" width="16.5546875" customWidth="1" outlineLevel="1"/>
    <col min="10" max="10" width="16" customWidth="1" outlineLevel="1"/>
    <col min="11" max="11" width="14.33203125" customWidth="1" outlineLevel="1"/>
    <col min="12" max="13" width="13.5546875" customWidth="1" outlineLevel="1"/>
    <col min="14" max="14" width="16.5546875" bestFit="1" customWidth="1" outlineLevel="1"/>
    <col min="15" max="16" width="13.5546875" customWidth="1" outlineLevel="1"/>
    <col min="17" max="17" width="13.33203125" customWidth="1" outlineLevel="1"/>
    <col min="18" max="18" width="14.88671875" customWidth="1" outlineLevel="1"/>
    <col min="20" max="21" width="12.33203125" bestFit="1" customWidth="1"/>
  </cols>
  <sheetData>
    <row r="1" spans="1:21" ht="15" thickBot="1" x14ac:dyDescent="0.35">
      <c r="A1" s="2" t="s">
        <v>35</v>
      </c>
      <c r="D1">
        <v>0.21</v>
      </c>
      <c r="G1">
        <v>0.65</v>
      </c>
      <c r="I1">
        <v>0.35</v>
      </c>
      <c r="M1">
        <v>0.7</v>
      </c>
      <c r="O1">
        <v>0.3</v>
      </c>
    </row>
    <row r="2" spans="1:21" s="2" customFormat="1" ht="15" thickBot="1" x14ac:dyDescent="0.35">
      <c r="C2" s="35" t="s">
        <v>0</v>
      </c>
      <c r="D2" s="36"/>
      <c r="E2" s="35" t="s">
        <v>4</v>
      </c>
      <c r="F2" s="36"/>
      <c r="G2" s="35" t="s">
        <v>7</v>
      </c>
      <c r="H2" s="36"/>
      <c r="I2" s="35" t="s">
        <v>8</v>
      </c>
      <c r="J2" s="36"/>
      <c r="K2" s="35" t="s">
        <v>5</v>
      </c>
      <c r="L2" s="36"/>
      <c r="M2" s="35" t="s">
        <v>9</v>
      </c>
      <c r="N2" s="36"/>
      <c r="O2" s="35" t="s">
        <v>10</v>
      </c>
      <c r="P2" s="36"/>
      <c r="Q2" s="35" t="s">
        <v>6</v>
      </c>
      <c r="R2" s="36"/>
    </row>
    <row r="3" spans="1:21" s="1" customFormat="1" ht="28.8" x14ac:dyDescent="0.3">
      <c r="A3" s="1" t="s">
        <v>28</v>
      </c>
      <c r="C3" s="1" t="s">
        <v>1</v>
      </c>
      <c r="D3" s="1" t="s">
        <v>2</v>
      </c>
      <c r="E3" s="1" t="s">
        <v>1</v>
      </c>
      <c r="F3" s="1" t="s">
        <v>2</v>
      </c>
      <c r="G3" s="1" t="s">
        <v>1</v>
      </c>
      <c r="H3" s="1" t="s">
        <v>2</v>
      </c>
      <c r="I3" s="1" t="s">
        <v>1</v>
      </c>
      <c r="J3" s="1" t="s">
        <v>2</v>
      </c>
      <c r="K3" s="1" t="s">
        <v>1</v>
      </c>
      <c r="L3" s="1" t="s">
        <v>2</v>
      </c>
      <c r="M3" s="1" t="s">
        <v>1</v>
      </c>
      <c r="N3" s="1" t="s">
        <v>2</v>
      </c>
      <c r="O3" s="1" t="s">
        <v>1</v>
      </c>
      <c r="P3" s="1" t="s">
        <v>2</v>
      </c>
      <c r="Q3" s="1" t="s">
        <v>1</v>
      </c>
      <c r="R3" s="1" t="s">
        <v>2</v>
      </c>
    </row>
    <row r="4" spans="1:21" s="19" customFormat="1" x14ac:dyDescent="0.3">
      <c r="A4" s="24"/>
      <c r="B4" s="19" t="s">
        <v>29</v>
      </c>
      <c r="C4" s="18">
        <f>-54185657.63*0.21</f>
        <v>-11378988.102299999</v>
      </c>
      <c r="D4" s="18">
        <f t="shared" ref="D4:D7" si="0">C4/(1-$D$1)</f>
        <v>-14403782.407974683</v>
      </c>
      <c r="E4" s="18">
        <f>-(30362348.71+1590429)*0.21</f>
        <v>-6710083.3191</v>
      </c>
      <c r="F4" s="18">
        <f t="shared" ref="F4:F11" si="1">E4/(1-$D$1)</f>
        <v>-8493776.353291139</v>
      </c>
      <c r="G4" s="18">
        <f t="shared" ref="G4" si="2">E4*$G$1</f>
        <v>-4361554.1574149998</v>
      </c>
      <c r="H4" s="18">
        <f t="shared" ref="H4:H10" si="3">F4*$G$1</f>
        <v>-5520954.6296392409</v>
      </c>
      <c r="I4" s="18">
        <f t="shared" ref="I4:I10" si="4">E4*$I$1</f>
        <v>-2348529.1616849997</v>
      </c>
      <c r="J4" s="18">
        <f>F4*$I$1</f>
        <v>-2972821.7236518986</v>
      </c>
      <c r="K4" s="18">
        <f>-(13446157.79+4510690.32)*0.21</f>
        <v>-3770938.1030999999</v>
      </c>
      <c r="L4" s="18">
        <f>K4/(1-$D$1)</f>
        <v>-4773339.3710126579</v>
      </c>
      <c r="M4" s="18">
        <f t="shared" ref="M4:M7" si="5">K4*$M$1</f>
        <v>-2639656.6721699997</v>
      </c>
      <c r="N4" s="18">
        <f>L4*$M$1</f>
        <v>-3341337.5597088602</v>
      </c>
      <c r="O4" s="18">
        <f t="shared" ref="O4:P4" si="6">K4*$O$1</f>
        <v>-1131281.43093</v>
      </c>
      <c r="P4" s="18">
        <f t="shared" si="6"/>
        <v>-1432001.8113037974</v>
      </c>
      <c r="Q4" s="18">
        <f>-4276031.81*0.21</f>
        <v>-897966.68009999988</v>
      </c>
      <c r="R4" s="18">
        <f t="shared" ref="R4" si="7">Q4/(1-$D$1)</f>
        <v>-1136666.6836708859</v>
      </c>
      <c r="S4" s="18"/>
      <c r="T4" s="18">
        <f t="shared" ref="T4:T11" si="8">C4-G4-I4-M4-O4-Q4</f>
        <v>0</v>
      </c>
      <c r="U4" s="18">
        <f t="shared" ref="U4:U11" si="9">D4-H4-J4-N4-P4-R4</f>
        <v>0</v>
      </c>
    </row>
    <row r="5" spans="1:21" s="19" customFormat="1" x14ac:dyDescent="0.3">
      <c r="A5" s="24"/>
      <c r="B5" s="19" t="s">
        <v>31</v>
      </c>
      <c r="C5" s="18">
        <f>-57506978.91*0.21</f>
        <v>-12076465.571099998</v>
      </c>
      <c r="D5" s="18">
        <f t="shared" si="0"/>
        <v>-15286665.279873416</v>
      </c>
      <c r="E5" s="18">
        <f>-13721595.65*0.21</f>
        <v>-2881535.0864999997</v>
      </c>
      <c r="F5" s="18">
        <f t="shared" si="1"/>
        <v>-3647512.7677215184</v>
      </c>
      <c r="G5" s="18">
        <f t="shared" ref="G5:G8" si="10">E5*$G$1</f>
        <v>-1872997.8062249999</v>
      </c>
      <c r="H5" s="18">
        <f t="shared" si="3"/>
        <v>-2370883.299018987</v>
      </c>
      <c r="I5" s="18">
        <f t="shared" si="4"/>
        <v>-1008537.2802749998</v>
      </c>
      <c r="J5" s="18">
        <f>F5*$I$1</f>
        <v>-1276629.4687025314</v>
      </c>
      <c r="K5" s="18">
        <f>-29064913.19*0.21</f>
        <v>-6103631.7698999997</v>
      </c>
      <c r="L5" s="18">
        <f>K5/(1-$D$1)</f>
        <v>-7726116.1644303789</v>
      </c>
      <c r="M5" s="18">
        <f t="shared" si="5"/>
        <v>-4272542.23893</v>
      </c>
      <c r="N5" s="18">
        <f>L5*$M$1</f>
        <v>-5408281.315101265</v>
      </c>
      <c r="O5" s="18">
        <f t="shared" ref="O5:P8" si="11">K5*$O$1</f>
        <v>-1831089.53097</v>
      </c>
      <c r="P5" s="18">
        <f t="shared" si="11"/>
        <v>-2317834.8493291135</v>
      </c>
      <c r="Q5" s="18">
        <f>-14720470.07*0.21</f>
        <v>-3091298.7146999999</v>
      </c>
      <c r="R5" s="18">
        <f t="shared" ref="R5" si="12">Q5/(1-$D$1)</f>
        <v>-3913036.3477215185</v>
      </c>
      <c r="S5" s="18"/>
      <c r="T5" s="18">
        <f t="shared" si="8"/>
        <v>0</v>
      </c>
      <c r="U5" s="18">
        <f t="shared" si="9"/>
        <v>0</v>
      </c>
    </row>
    <row r="6" spans="1:21" s="19" customFormat="1" x14ac:dyDescent="0.3">
      <c r="A6" s="24" t="s">
        <v>33</v>
      </c>
      <c r="B6" s="19" t="s">
        <v>22</v>
      </c>
      <c r="C6" s="18">
        <f>-21035476.13-C5-C4</f>
        <v>2419977.5433999989</v>
      </c>
      <c r="D6" s="18">
        <f t="shared" si="0"/>
        <v>3063262.7131645554</v>
      </c>
      <c r="E6" s="3">
        <f>-8357851.67-E5-E4</f>
        <v>1233766.7356000002</v>
      </c>
      <c r="F6" s="18">
        <f t="shared" si="1"/>
        <v>1561730.0450632914</v>
      </c>
      <c r="G6" s="18">
        <f t="shared" si="10"/>
        <v>801948.37814000016</v>
      </c>
      <c r="H6" s="18">
        <f t="shared" si="3"/>
        <v>1015124.5292911394</v>
      </c>
      <c r="I6" s="18">
        <f t="shared" si="4"/>
        <v>431818.35746000009</v>
      </c>
      <c r="J6" s="18">
        <f t="shared" ref="J6:J7" si="13">F6*$I$1</f>
        <v>546605.51577215199</v>
      </c>
      <c r="K6" s="3">
        <f>-8941614.4-K5-K4</f>
        <v>932955.4729999993</v>
      </c>
      <c r="L6" s="18">
        <f t="shared" ref="L6" si="14">K6/(1-$D$1)</f>
        <v>1180956.2949367079</v>
      </c>
      <c r="M6" s="18">
        <f t="shared" si="5"/>
        <v>653068.83109999949</v>
      </c>
      <c r="N6" s="18">
        <f t="shared" ref="N6:N7" si="15">L6*$M$1</f>
        <v>826669.40645569551</v>
      </c>
      <c r="O6" s="18">
        <f t="shared" si="11"/>
        <v>279886.64189999975</v>
      </c>
      <c r="P6" s="18">
        <f t="shared" si="11"/>
        <v>354286.88848101237</v>
      </c>
      <c r="Q6" s="3">
        <f>-3736010.06-Q5-Q4</f>
        <v>253255.33479999972</v>
      </c>
      <c r="R6" s="18">
        <f t="shared" ref="R6:R11" si="16">Q6/(1-$D$1)</f>
        <v>320576.37316455657</v>
      </c>
      <c r="S6" s="18"/>
      <c r="T6" s="18">
        <f t="shared" si="8"/>
        <v>-2.9103830456733704E-10</v>
      </c>
      <c r="U6" s="18">
        <f t="shared" si="9"/>
        <v>-5.2386894822120667E-10</v>
      </c>
    </row>
    <row r="7" spans="1:21" x14ac:dyDescent="0.3">
      <c r="A7" s="24" t="s">
        <v>34</v>
      </c>
      <c r="B7" t="s">
        <v>24</v>
      </c>
      <c r="C7" s="18">
        <v>-2754680.93</v>
      </c>
      <c r="D7" s="3">
        <f t="shared" si="0"/>
        <v>-3486937.8860759493</v>
      </c>
      <c r="E7" s="3">
        <v>-407308.84</v>
      </c>
      <c r="F7" s="18">
        <f>E7/(1-$D$1)</f>
        <v>-515580.81012658228</v>
      </c>
      <c r="G7" s="18">
        <f>E7*$G$1</f>
        <v>-264750.74600000004</v>
      </c>
      <c r="H7" s="18">
        <f>F7*$G$1</f>
        <v>-335127.52658227849</v>
      </c>
      <c r="I7" s="18">
        <f>E7*$I$1</f>
        <v>-142558.09400000001</v>
      </c>
      <c r="J7" s="18">
        <f t="shared" si="13"/>
        <v>-180453.28354430379</v>
      </c>
      <c r="K7" s="3">
        <v>-1404734.06</v>
      </c>
      <c r="L7" s="18">
        <f>K7/(1-$D$1)</f>
        <v>-1778144.3797468354</v>
      </c>
      <c r="M7" s="18">
        <f t="shared" si="5"/>
        <v>-983313.84199999995</v>
      </c>
      <c r="N7" s="18">
        <f t="shared" si="15"/>
        <v>-1244701.0658227848</v>
      </c>
      <c r="O7" s="18">
        <f>K7*$O$1</f>
        <v>-421420.21799999999</v>
      </c>
      <c r="P7" s="18">
        <f>L7*$O$1</f>
        <v>-533443.31392405066</v>
      </c>
      <c r="Q7" s="3">
        <v>-942638.03</v>
      </c>
      <c r="R7" s="18">
        <f t="shared" si="16"/>
        <v>-1193212.6962025317</v>
      </c>
      <c r="S7" s="20"/>
      <c r="T7" s="3">
        <f t="shared" si="8"/>
        <v>0</v>
      </c>
      <c r="U7" s="3">
        <f t="shared" si="9"/>
        <v>0</v>
      </c>
    </row>
    <row r="8" spans="1:21" x14ac:dyDescent="0.3">
      <c r="A8" s="25"/>
      <c r="B8" t="s">
        <v>30</v>
      </c>
      <c r="C8" s="3">
        <f>-29271475*0.21</f>
        <v>-6147009.75</v>
      </c>
      <c r="D8" s="3">
        <f t="shared" ref="D8:D10" si="17">C8/(1-$D$1)</f>
        <v>-7781025</v>
      </c>
      <c r="E8" s="3">
        <f>-(11819826+7191393)*0.21</f>
        <v>-3992355.9899999998</v>
      </c>
      <c r="F8" s="3">
        <f t="shared" si="1"/>
        <v>-5053615.1772151897</v>
      </c>
      <c r="G8" s="3">
        <f t="shared" si="10"/>
        <v>-2595031.3934999998</v>
      </c>
      <c r="H8" s="3">
        <f t="shared" si="3"/>
        <v>-3284849.8651898736</v>
      </c>
      <c r="I8" s="3">
        <f t="shared" si="4"/>
        <v>-1397324.5964999998</v>
      </c>
      <c r="J8" s="3">
        <f t="shared" ref="J8" si="18">F8*$I$1</f>
        <v>-1768765.3120253163</v>
      </c>
      <c r="K8" s="3">
        <f>-(6695330+396634)*0.21</f>
        <v>-1489312.44</v>
      </c>
      <c r="L8" s="3">
        <f t="shared" ref="L8" si="19">K8/(1-$D$1)</f>
        <v>-1885205.6202531643</v>
      </c>
      <c r="M8" s="3">
        <f t="shared" ref="M8:N8" si="20">K8*$M$1</f>
        <v>-1042518.7079999999</v>
      </c>
      <c r="N8" s="3">
        <f t="shared" si="20"/>
        <v>-1319643.934177215</v>
      </c>
      <c r="O8" s="3">
        <f t="shared" si="11"/>
        <v>-446793.73199999996</v>
      </c>
      <c r="P8" s="3">
        <f t="shared" si="11"/>
        <v>-565561.68607594923</v>
      </c>
      <c r="Q8" s="3">
        <f>-3168292*0.21</f>
        <v>-665341.31999999995</v>
      </c>
      <c r="R8" s="3">
        <f t="shared" si="16"/>
        <v>-842204.20253164542</v>
      </c>
      <c r="S8" s="3"/>
      <c r="T8" s="3">
        <f t="shared" si="8"/>
        <v>-9.3132257461547852E-10</v>
      </c>
      <c r="U8" s="3">
        <f t="shared" si="9"/>
        <v>0</v>
      </c>
    </row>
    <row r="9" spans="1:21" x14ac:dyDescent="0.3">
      <c r="A9" s="25"/>
      <c r="B9" t="s">
        <v>32</v>
      </c>
      <c r="C9" s="3">
        <f>-337734920.18*0.21</f>
        <v>-70924333.237800002</v>
      </c>
      <c r="D9" s="3">
        <f t="shared" si="17"/>
        <v>-89777637.00987342</v>
      </c>
      <c r="E9" s="3">
        <f>-226044355.99*0.21</f>
        <v>-47469314.7579</v>
      </c>
      <c r="F9" s="3">
        <f t="shared" si="1"/>
        <v>-60087740.199873418</v>
      </c>
      <c r="G9" s="3">
        <f>E9*$G$1</f>
        <v>-30855054.592635002</v>
      </c>
      <c r="H9" s="3">
        <f t="shared" si="3"/>
        <v>-39057031.129917726</v>
      </c>
      <c r="I9" s="3">
        <f t="shared" si="4"/>
        <v>-16614260.165264999</v>
      </c>
      <c r="J9" s="3">
        <f t="shared" ref="J9" si="21">F9*$I$1</f>
        <v>-21030709.069955695</v>
      </c>
      <c r="K9" s="3">
        <f>-70750560.3*0.21</f>
        <v>-14857617.662999999</v>
      </c>
      <c r="L9" s="3">
        <f t="shared" ref="L9" si="22">K9/(1-$D$1)</f>
        <v>-18807110.965822782</v>
      </c>
      <c r="M9" s="3">
        <f>K9*$M$1</f>
        <v>-10400332.364099998</v>
      </c>
      <c r="N9" s="3">
        <f>L9*$M$1</f>
        <v>-13164977.676075947</v>
      </c>
      <c r="O9" s="3">
        <f>K9*$O$1</f>
        <v>-4457285.2988999998</v>
      </c>
      <c r="P9" s="3">
        <f t="shared" ref="P9" si="23">L9*$O$1</f>
        <v>-5642133.2897468349</v>
      </c>
      <c r="Q9" s="3">
        <f>-40940003.9*0.21</f>
        <v>-8597400.8190000001</v>
      </c>
      <c r="R9" s="3">
        <f t="shared" si="16"/>
        <v>-10882785.846835442</v>
      </c>
      <c r="S9" s="3"/>
      <c r="T9" s="3">
        <f t="shared" si="8"/>
        <v>2.1000038832426071E-3</v>
      </c>
      <c r="U9" s="3">
        <f t="shared" si="9"/>
        <v>2.6582255959510803E-3</v>
      </c>
    </row>
    <row r="10" spans="1:21" x14ac:dyDescent="0.3">
      <c r="A10" s="25" t="s">
        <v>33</v>
      </c>
      <c r="B10" t="s">
        <v>23</v>
      </c>
      <c r="C10" s="18">
        <f>-63632376.56-C9-C8</f>
        <v>13438966.4278</v>
      </c>
      <c r="D10" s="3">
        <f t="shared" si="17"/>
        <v>17011349.908607595</v>
      </c>
      <c r="E10" s="3">
        <f>C10-K10-Q10</f>
        <v>9621385.9458000027</v>
      </c>
      <c r="F10" s="3">
        <f t="shared" si="1"/>
        <v>12178969.551645573</v>
      </c>
      <c r="G10" s="3">
        <f>E10*$G$1</f>
        <v>6253900.8647700017</v>
      </c>
      <c r="H10" s="3">
        <f t="shared" si="3"/>
        <v>7916330.2085696226</v>
      </c>
      <c r="I10" s="3">
        <f t="shared" si="4"/>
        <v>3367485.0810300009</v>
      </c>
      <c r="J10" s="3">
        <f>F10*$I$1</f>
        <v>4262639.3430759506</v>
      </c>
      <c r="K10" s="3">
        <f>-13683632.46-K9-K8</f>
        <v>2663297.6429999978</v>
      </c>
      <c r="L10" s="3">
        <f>K10/(1-$D$1)</f>
        <v>3371262.8392405035</v>
      </c>
      <c r="M10" s="3">
        <f t="shared" ref="M10" si="24">K10*$M$1</f>
        <v>1864308.3500999983</v>
      </c>
      <c r="N10" s="3">
        <f>L10*$M$1</f>
        <v>2359883.9874683521</v>
      </c>
      <c r="O10" s="3">
        <f>K10*$O$1</f>
        <v>798989.2928999993</v>
      </c>
      <c r="P10" s="3">
        <f t="shared" ref="P10:P11" si="25">L10*$O$1</f>
        <v>1011378.851772151</v>
      </c>
      <c r="Q10" s="3">
        <f>-8108459.3-Q9-Q8</f>
        <v>1154282.8390000002</v>
      </c>
      <c r="R10" s="3">
        <f t="shared" si="16"/>
        <v>1461117.5177215191</v>
      </c>
      <c r="S10" s="3"/>
      <c r="T10" s="3">
        <f t="shared" si="8"/>
        <v>0</v>
      </c>
      <c r="U10" s="3">
        <f t="shared" si="9"/>
        <v>0</v>
      </c>
    </row>
    <row r="11" spans="1:21" x14ac:dyDescent="0.3">
      <c r="A11" s="25" t="s">
        <v>34</v>
      </c>
      <c r="B11" t="s">
        <v>25</v>
      </c>
      <c r="C11" s="18">
        <v>-18786789.719999999</v>
      </c>
      <c r="D11" s="3">
        <f>C11/(1-$D$1)</f>
        <v>-23780746.481012657</v>
      </c>
      <c r="E11" s="3">
        <v>-12084266.609999999</v>
      </c>
      <c r="F11" s="3">
        <f t="shared" si="1"/>
        <v>-15296540.012658227</v>
      </c>
      <c r="G11" s="3">
        <f>E11*$G$1</f>
        <v>-7854773.2965000002</v>
      </c>
      <c r="H11" s="3">
        <f>F11*$G$1</f>
        <v>-9942751.0082278475</v>
      </c>
      <c r="I11" s="3">
        <f>E11*$I$1</f>
        <v>-4229493.3134999992</v>
      </c>
      <c r="J11" s="3">
        <f>F11*$I$1</f>
        <v>-5353789.0044303788</v>
      </c>
      <c r="K11" s="3">
        <v>-4046150.57</v>
      </c>
      <c r="L11" s="3">
        <f>K11/(1-$D$1)</f>
        <v>-5121709.5822784808</v>
      </c>
      <c r="M11" s="3">
        <f>K11*$M$1</f>
        <v>-2832305.3989999997</v>
      </c>
      <c r="N11" s="3">
        <f>L11*$M$1</f>
        <v>-3585196.7075949362</v>
      </c>
      <c r="O11" s="3">
        <f>K11*$O$1</f>
        <v>-1213845.1709999999</v>
      </c>
      <c r="P11" s="3">
        <f t="shared" si="25"/>
        <v>-1536512.8746835443</v>
      </c>
      <c r="Q11" s="3">
        <v>-2656372.54</v>
      </c>
      <c r="R11" s="3">
        <f t="shared" si="16"/>
        <v>-3362496.8860759493</v>
      </c>
      <c r="S11" s="20"/>
      <c r="T11" s="3">
        <f t="shared" si="8"/>
        <v>0</v>
      </c>
      <c r="U11" s="3">
        <f t="shared" si="9"/>
        <v>0</v>
      </c>
    </row>
    <row r="12" spans="1:21" ht="8.25" customHeight="1" x14ac:dyDescent="0.3">
      <c r="C12" s="3"/>
      <c r="D12" s="3"/>
      <c r="E12" s="3"/>
      <c r="F12" s="3"/>
      <c r="G12" s="3"/>
      <c r="H12" s="3"/>
      <c r="I12" s="3"/>
      <c r="J12" s="3"/>
      <c r="K12" s="3"/>
      <c r="L12" s="3"/>
      <c r="M12" s="3"/>
      <c r="N12" s="3"/>
      <c r="O12" s="3"/>
      <c r="P12" s="3"/>
      <c r="Q12" s="3"/>
      <c r="R12" s="3"/>
      <c r="S12" s="3"/>
      <c r="T12" s="3"/>
      <c r="U12" s="3"/>
    </row>
    <row r="13" spans="1:21" x14ac:dyDescent="0.3">
      <c r="B13" t="s">
        <v>3</v>
      </c>
      <c r="C13" s="4">
        <f t="shared" ref="C13:R13" si="26">SUM(C4:C12)</f>
        <v>-106209323.34</v>
      </c>
      <c r="D13" s="4">
        <f t="shared" si="26"/>
        <v>-134442181.44303799</v>
      </c>
      <c r="E13" s="4">
        <f t="shared" si="26"/>
        <v>-62689711.922099993</v>
      </c>
      <c r="F13" s="4">
        <f t="shared" si="26"/>
        <v>-79354065.724177197</v>
      </c>
      <c r="G13" s="4">
        <f t="shared" si="26"/>
        <v>-40748312.749364994</v>
      </c>
      <c r="H13" s="4">
        <f t="shared" si="26"/>
        <v>-51580142.720715195</v>
      </c>
      <c r="I13" s="4">
        <f t="shared" si="26"/>
        <v>-21941399.172734998</v>
      </c>
      <c r="J13" s="4">
        <f t="shared" si="26"/>
        <v>-27773923.003462024</v>
      </c>
      <c r="K13" s="4">
        <f t="shared" si="26"/>
        <v>-28076131.490000002</v>
      </c>
      <c r="L13" s="4">
        <f t="shared" si="26"/>
        <v>-35539406.949367091</v>
      </c>
      <c r="M13" s="4">
        <f t="shared" si="26"/>
        <v>-19653292.042999998</v>
      </c>
      <c r="N13" s="4">
        <f t="shared" si="26"/>
        <v>-24877584.864556961</v>
      </c>
      <c r="O13" s="4">
        <f t="shared" si="26"/>
        <v>-8422839.4470000006</v>
      </c>
      <c r="P13" s="4">
        <f t="shared" si="26"/>
        <v>-10661822.084810127</v>
      </c>
      <c r="Q13" s="4">
        <f t="shared" si="26"/>
        <v>-15443479.93</v>
      </c>
      <c r="R13" s="4">
        <f t="shared" si="26"/>
        <v>-19548708.772151895</v>
      </c>
      <c r="S13" s="3"/>
      <c r="T13" s="3"/>
      <c r="U13" s="3"/>
    </row>
    <row r="15" spans="1:21" x14ac:dyDescent="0.3">
      <c r="B15" t="s">
        <v>27</v>
      </c>
      <c r="C15" s="3"/>
      <c r="D15" s="3"/>
      <c r="E15" s="3"/>
      <c r="F15" s="3"/>
      <c r="G15" s="3"/>
      <c r="H15" s="3"/>
      <c r="I15" s="3"/>
      <c r="J15" s="3"/>
      <c r="K15" s="3"/>
      <c r="L15" s="3"/>
      <c r="M15" s="3"/>
      <c r="N15" s="3"/>
      <c r="O15" s="3"/>
      <c r="P15" s="3"/>
      <c r="Q15" s="3"/>
      <c r="R15" s="3"/>
      <c r="S15" s="3"/>
      <c r="T15" s="3"/>
      <c r="U15" s="3"/>
    </row>
    <row r="16" spans="1:21" x14ac:dyDescent="0.3">
      <c r="B16" s="21" t="s">
        <v>20</v>
      </c>
      <c r="C16" s="3">
        <f>MAX(C8,-((24678568+26355580+36907699+29271475)/4)*0.21)</f>
        <v>-6147009.75</v>
      </c>
      <c r="D16" s="3">
        <f>C16/(1-$D$1)</f>
        <v>-7781025</v>
      </c>
      <c r="E16" s="3">
        <f>$C16*(E8/$C8)</f>
        <v>-3992355.9899999998</v>
      </c>
      <c r="F16" s="3">
        <f t="shared" ref="F16" si="27">E16/(1-$D$1)</f>
        <v>-5053615.1772151897</v>
      </c>
      <c r="G16" s="3">
        <f t="shared" ref="G16" si="28">E16*$G$1</f>
        <v>-2595031.3934999998</v>
      </c>
      <c r="H16" s="3">
        <f t="shared" ref="H16" si="29">F16*$G$1</f>
        <v>-3284849.8651898736</v>
      </c>
      <c r="I16" s="3">
        <f t="shared" ref="I16" si="30">E16*$I$1</f>
        <v>-1397324.5964999998</v>
      </c>
      <c r="J16" s="3">
        <f t="shared" ref="J16" si="31">F16*$I$1</f>
        <v>-1768765.3120253163</v>
      </c>
      <c r="K16" s="3">
        <f>$C16*(K8/$C8)</f>
        <v>-1489312.44</v>
      </c>
      <c r="L16" s="3">
        <f t="shared" ref="L16" si="32">K16/(1-$D$1)</f>
        <v>-1885205.6202531643</v>
      </c>
      <c r="M16" s="3">
        <f t="shared" ref="M16" si="33">K16*$M$1</f>
        <v>-1042518.7079999999</v>
      </c>
      <c r="N16" s="3">
        <f t="shared" ref="N16" si="34">L16*$M$1</f>
        <v>-1319643.934177215</v>
      </c>
      <c r="O16" s="3">
        <f t="shared" ref="O16" si="35">K16*$O$1</f>
        <v>-446793.73199999996</v>
      </c>
      <c r="P16" s="3">
        <f t="shared" ref="P16" si="36">L16*$O$1</f>
        <v>-565561.68607594923</v>
      </c>
      <c r="Q16" s="3">
        <f>$C16*(Q8/$C8)</f>
        <v>-665341.31999999995</v>
      </c>
      <c r="R16" s="3">
        <f t="shared" ref="R16" si="37">Q16/(1-$D$1)</f>
        <v>-842204.20253164542</v>
      </c>
      <c r="S16" s="3"/>
      <c r="T16" s="3">
        <f t="shared" ref="T16:T17" si="38">C16-G16-I16-M16-O16-Q16</f>
        <v>-9.3132257461547852E-10</v>
      </c>
      <c r="U16" s="3">
        <f t="shared" ref="U16:U18" si="39">D16-H16-J16-N16-P16-R16</f>
        <v>0</v>
      </c>
    </row>
    <row r="17" spans="2:21" x14ac:dyDescent="0.3">
      <c r="B17" s="21" t="s">
        <v>21</v>
      </c>
      <c r="C17" s="3">
        <v>-9648925.3822499979</v>
      </c>
      <c r="D17" s="3">
        <f>C17/(1-$D$1)</f>
        <v>-12213829.597784806</v>
      </c>
      <c r="E17" s="3">
        <v>-5721117.1132499985</v>
      </c>
      <c r="F17" s="3">
        <f t="shared" ref="F17" si="40">E17/(1-$D$1)</f>
        <v>-7241920.3965189848</v>
      </c>
      <c r="G17" s="3">
        <f t="shared" ref="G17:H17" si="41">E17*$G$1</f>
        <v>-3718726.1236124993</v>
      </c>
      <c r="H17" s="3">
        <f t="shared" si="41"/>
        <v>-4707248.2577373404</v>
      </c>
      <c r="I17" s="3">
        <f t="shared" ref="I17:J17" si="42">E17*$I$1</f>
        <v>-2002390.9896374994</v>
      </c>
      <c r="J17" s="3">
        <f t="shared" si="42"/>
        <v>-2534672.1387816444</v>
      </c>
      <c r="K17" s="3">
        <v>-3081643.7872499996</v>
      </c>
      <c r="L17" s="3">
        <f>K17/(1-$D$1)</f>
        <v>-3900814.9205696196</v>
      </c>
      <c r="M17" s="3">
        <f>K17*$M$1</f>
        <v>-2157150.6510749995</v>
      </c>
      <c r="N17" s="3">
        <f>L17*$M$1</f>
        <v>-2730570.4443987338</v>
      </c>
      <c r="O17" s="3">
        <f>K17*$O$1</f>
        <v>-924493.13617499988</v>
      </c>
      <c r="P17" s="3">
        <f>L17*$O$1</f>
        <v>-1170244.4761708858</v>
      </c>
      <c r="Q17" s="3">
        <v>-846164.48175000004</v>
      </c>
      <c r="R17" s="3">
        <f t="shared" ref="R17:R18" si="43">Q17/(1-$D$1)</f>
        <v>-1071094.2806962025</v>
      </c>
      <c r="S17" s="3"/>
      <c r="T17" s="3">
        <f t="shared" si="38"/>
        <v>0</v>
      </c>
      <c r="U17" s="3">
        <f t="shared" si="39"/>
        <v>0</v>
      </c>
    </row>
    <row r="18" spans="2:21" x14ac:dyDescent="0.3">
      <c r="B18" s="21" t="s">
        <v>11</v>
      </c>
      <c r="C18" s="3">
        <f>C6+C10-(62009121.85*0.21)</f>
        <v>2837028.3826999981</v>
      </c>
      <c r="D18" s="3">
        <f>C18/(1-$D$1)</f>
        <v>3591175.1679746811</v>
      </c>
      <c r="E18" s="3">
        <f>SUM(E16:E17)/SUM($C$16:$C$17)*$C18</f>
        <v>1744588.0005071883</v>
      </c>
      <c r="F18" s="3">
        <f>E18/(1-$D$1)</f>
        <v>2208339.2411483396</v>
      </c>
      <c r="G18" s="3">
        <f>E18*$G$1</f>
        <v>1133982.2003296723</v>
      </c>
      <c r="H18" s="3">
        <f t="shared" ref="H18" si="44">F18*$G$1</f>
        <v>1435420.5067464209</v>
      </c>
      <c r="I18" s="3">
        <f t="shared" ref="I18" si="45">E18*$I$1</f>
        <v>610605.80017751583</v>
      </c>
      <c r="J18" s="3">
        <f t="shared" ref="J18" si="46">F18*$I$1</f>
        <v>772918.73440191883</v>
      </c>
      <c r="K18" s="3">
        <f>SUM(K16:K17)/SUM($C$16:$C$17)*$C18</f>
        <v>820966.43498563033</v>
      </c>
      <c r="L18" s="3">
        <f>K18/(1-$D$1)</f>
        <v>1039198.0189691522</v>
      </c>
      <c r="M18" s="3">
        <f>K18*$M$1</f>
        <v>574676.50448994117</v>
      </c>
      <c r="N18" s="3">
        <f>L18*$M$1</f>
        <v>727438.61327840656</v>
      </c>
      <c r="O18" s="3">
        <f>K18*$O$1</f>
        <v>246289.9304956891</v>
      </c>
      <c r="P18" s="3">
        <f>L18*$O$1</f>
        <v>311759.40569074568</v>
      </c>
      <c r="Q18" s="3">
        <f>SUM(Q16:Q17)/SUM($C$16:$C$17)*$C18</f>
        <v>271473.94720717944</v>
      </c>
      <c r="R18" s="3">
        <f t="shared" si="43"/>
        <v>343637.90785718913</v>
      </c>
      <c r="S18" s="3"/>
      <c r="T18" s="3">
        <f>C18-G18-I18-M18-O18-Q18</f>
        <v>0</v>
      </c>
      <c r="U18" s="3">
        <f t="shared" si="39"/>
        <v>0</v>
      </c>
    </row>
    <row r="19" spans="2:21" x14ac:dyDescent="0.3">
      <c r="B19" s="21"/>
      <c r="C19" s="3"/>
      <c r="D19" s="3"/>
      <c r="E19" s="3"/>
      <c r="F19" s="3"/>
      <c r="G19" s="3"/>
      <c r="H19" s="3"/>
      <c r="I19" s="3"/>
      <c r="J19" s="3"/>
      <c r="K19" s="3"/>
      <c r="L19" s="3"/>
      <c r="M19" s="3"/>
      <c r="N19" s="3"/>
      <c r="O19" s="3"/>
      <c r="P19" s="3"/>
      <c r="Q19" s="3"/>
      <c r="R19" s="3"/>
      <c r="S19" s="3"/>
      <c r="T19" s="3">
        <f>C19-G19-I19-M19-O19-Q19</f>
        <v>0</v>
      </c>
      <c r="U19" s="3">
        <f t="shared" ref="U19" si="47">D19-H19-J19-N19-P19-R19</f>
        <v>0</v>
      </c>
    </row>
    <row r="20" spans="2:21" x14ac:dyDescent="0.3">
      <c r="C20" s="4">
        <f>SUM(C15:C19)</f>
        <v>-12958906.74955</v>
      </c>
      <c r="D20" s="4">
        <f t="shared" ref="D20:R20" si="48">SUM(D15:D19)</f>
        <v>-16403679.429810125</v>
      </c>
      <c r="E20" s="4">
        <f t="shared" si="48"/>
        <v>-7968885.1027428107</v>
      </c>
      <c r="F20" s="4">
        <f t="shared" si="48"/>
        <v>-10087196.332585836</v>
      </c>
      <c r="G20" s="4">
        <f t="shared" si="48"/>
        <v>-5179775.3167828266</v>
      </c>
      <c r="H20" s="4">
        <f t="shared" si="48"/>
        <v>-6556677.6161807934</v>
      </c>
      <c r="I20" s="4">
        <f t="shared" si="48"/>
        <v>-2789109.7859599832</v>
      </c>
      <c r="J20" s="4">
        <f t="shared" si="48"/>
        <v>-3530518.7164050415</v>
      </c>
      <c r="K20" s="4">
        <f t="shared" si="48"/>
        <v>-3749989.7922643693</v>
      </c>
      <c r="L20" s="4">
        <f t="shared" si="48"/>
        <v>-4746822.5218536314</v>
      </c>
      <c r="M20" s="4">
        <f t="shared" si="48"/>
        <v>-2624992.8545850585</v>
      </c>
      <c r="N20" s="4">
        <f t="shared" si="48"/>
        <v>-3322775.7652975423</v>
      </c>
      <c r="O20" s="4">
        <f t="shared" si="48"/>
        <v>-1124996.9376793108</v>
      </c>
      <c r="P20" s="4">
        <f t="shared" si="48"/>
        <v>-1424046.7565560893</v>
      </c>
      <c r="Q20" s="4">
        <f t="shared" si="48"/>
        <v>-1240031.8545428207</v>
      </c>
      <c r="R20" s="4">
        <f t="shared" si="48"/>
        <v>-1569660.5753706589</v>
      </c>
      <c r="S20" s="3"/>
      <c r="T20" s="3">
        <f>C20-G20-I20-M20-O20-Q20</f>
        <v>0</v>
      </c>
      <c r="U20" s="3">
        <f t="shared" ref="U20" si="49">D20-H20-J20-N20-P20-R20</f>
        <v>0</v>
      </c>
    </row>
    <row r="21" spans="2:21" x14ac:dyDescent="0.3">
      <c r="C21" s="22"/>
      <c r="D21" s="22"/>
      <c r="E21" s="22"/>
      <c r="F21" s="22"/>
      <c r="G21" s="22"/>
      <c r="H21" s="22"/>
      <c r="I21" s="22"/>
      <c r="J21" s="22"/>
      <c r="K21" s="22"/>
      <c r="L21" s="22"/>
      <c r="M21" s="22"/>
      <c r="N21" s="22"/>
      <c r="O21" s="22"/>
      <c r="P21" s="22"/>
      <c r="Q21" s="22"/>
      <c r="R21" s="22"/>
      <c r="S21" s="3"/>
      <c r="T21" s="3"/>
      <c r="U21" s="3"/>
    </row>
    <row r="22" spans="2:21" ht="15" thickBot="1" x14ac:dyDescent="0.35">
      <c r="B22" s="21" t="s">
        <v>26</v>
      </c>
      <c r="C22" s="23">
        <f>C13+C20</f>
        <v>-119168230.08955</v>
      </c>
      <c r="D22" s="23">
        <f t="shared" ref="D22:R22" si="50">D13+D20</f>
        <v>-150845860.87284812</v>
      </c>
      <c r="E22" s="23">
        <f t="shared" si="50"/>
        <v>-70658597.024842799</v>
      </c>
      <c r="F22" s="23">
        <f t="shared" si="50"/>
        <v>-89441262.056763038</v>
      </c>
      <c r="G22" s="23">
        <f t="shared" si="50"/>
        <v>-45928088.066147819</v>
      </c>
      <c r="H22" s="23">
        <f t="shared" si="50"/>
        <v>-58136820.336895987</v>
      </c>
      <c r="I22" s="23">
        <f t="shared" si="50"/>
        <v>-24730508.95869498</v>
      </c>
      <c r="J22" s="23">
        <f t="shared" si="50"/>
        <v>-31304441.719867066</v>
      </c>
      <c r="K22" s="23">
        <f t="shared" si="50"/>
        <v>-31826121.28226437</v>
      </c>
      <c r="L22" s="23">
        <f t="shared" si="50"/>
        <v>-40286229.471220724</v>
      </c>
      <c r="M22" s="23">
        <f t="shared" si="50"/>
        <v>-22278284.897585057</v>
      </c>
      <c r="N22" s="23">
        <f t="shared" si="50"/>
        <v>-28200360.629854504</v>
      </c>
      <c r="O22" s="23">
        <f t="shared" si="50"/>
        <v>-9547836.3846793119</v>
      </c>
      <c r="P22" s="23">
        <f t="shared" si="50"/>
        <v>-12085868.841366217</v>
      </c>
      <c r="Q22" s="23">
        <f t="shared" si="50"/>
        <v>-16683511.784542821</v>
      </c>
      <c r="R22" s="23">
        <f t="shared" si="50"/>
        <v>-21118369.347522553</v>
      </c>
      <c r="S22" s="3"/>
      <c r="T22" s="3"/>
      <c r="U22" s="3"/>
    </row>
    <row r="23" spans="2:21" ht="15" thickTop="1" x14ac:dyDescent="0.3">
      <c r="C23" s="22"/>
      <c r="D23" s="22"/>
      <c r="E23" s="22"/>
      <c r="F23" s="22"/>
      <c r="G23" s="22"/>
      <c r="H23" s="22"/>
      <c r="I23" s="22"/>
      <c r="J23" s="22"/>
      <c r="K23" s="22"/>
      <c r="L23" s="22"/>
      <c r="M23" s="22"/>
      <c r="N23" s="22"/>
      <c r="O23" s="22"/>
      <c r="P23" s="22"/>
      <c r="Q23" s="22"/>
      <c r="R23" s="22"/>
      <c r="S23" s="3"/>
      <c r="T23" s="3"/>
      <c r="U23" s="3"/>
    </row>
    <row r="25" spans="2:21" ht="54.6" customHeight="1" x14ac:dyDescent="0.3">
      <c r="C25" s="32" t="s">
        <v>33</v>
      </c>
      <c r="D25" s="34" t="s">
        <v>38</v>
      </c>
      <c r="E25" s="34"/>
      <c r="F25" s="34"/>
      <c r="G25" s="34"/>
      <c r="H25" s="34"/>
      <c r="I25" s="34"/>
      <c r="J25" s="34"/>
    </row>
    <row r="26" spans="2:21" ht="16.2" customHeight="1" x14ac:dyDescent="0.3">
      <c r="C26" s="33"/>
      <c r="D26" s="30"/>
      <c r="E26" s="30"/>
      <c r="F26" s="30"/>
      <c r="G26" s="30"/>
      <c r="H26" s="30"/>
      <c r="I26" s="30"/>
      <c r="J26" s="30"/>
    </row>
    <row r="27" spans="2:21" ht="66" customHeight="1" x14ac:dyDescent="0.3">
      <c r="C27" s="32" t="s">
        <v>34</v>
      </c>
      <c r="D27" s="34" t="s">
        <v>36</v>
      </c>
      <c r="E27" s="34"/>
      <c r="F27" s="34"/>
      <c r="G27" s="34"/>
      <c r="H27" s="34"/>
      <c r="I27" s="34"/>
      <c r="J27" s="34"/>
    </row>
    <row r="28" spans="2:21" x14ac:dyDescent="0.3">
      <c r="B28" s="30"/>
      <c r="C28" s="30"/>
      <c r="D28" s="30"/>
      <c r="E28" s="30"/>
      <c r="F28" s="30"/>
      <c r="G28" s="30"/>
      <c r="H28" s="30"/>
      <c r="I28" s="30"/>
      <c r="J28" s="30"/>
    </row>
    <row r="29" spans="2:21" x14ac:dyDescent="0.3">
      <c r="B29" s="31"/>
      <c r="C29" s="31"/>
      <c r="D29" s="31"/>
      <c r="E29" s="31"/>
      <c r="F29" s="31"/>
      <c r="G29" s="31"/>
      <c r="H29" s="31"/>
      <c r="I29" s="31"/>
      <c r="J29" s="31"/>
    </row>
  </sheetData>
  <mergeCells count="10">
    <mergeCell ref="D25:J25"/>
    <mergeCell ref="D27:J27"/>
    <mergeCell ref="O2:P2"/>
    <mergeCell ref="Q2:R2"/>
    <mergeCell ref="C2:D2"/>
    <mergeCell ref="E2:F2"/>
    <mergeCell ref="G2:H2"/>
    <mergeCell ref="I2:J2"/>
    <mergeCell ref="K2:L2"/>
    <mergeCell ref="M2:N2"/>
  </mergeCells>
  <pageMargins left="0.7" right="0.7" top="1" bottom="0.75" header="0.55000000000000004" footer="0.8"/>
  <pageSetup scale="74" fitToWidth="2" orientation="landscape" r:id="rId1"/>
  <headerFooter scaleWithDoc="0">
    <oddHeader>&amp;R&amp;F</oddHeader>
    <oddFooter>&amp;RPage &amp;P of &amp;N</oddFooter>
  </headerFooter>
  <colBreaks count="1" manualBreakCount="1">
    <brk id="10" max="34" man="1"/>
  </colBreaks>
  <ignoredErrors>
    <ignoredError sqref="E4:E6 E8:E10 E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topLeftCell="A2" workbookViewId="0">
      <selection activeCell="C19" sqref="C19:E19"/>
    </sheetView>
  </sheetViews>
  <sheetFormatPr defaultRowHeight="14.4" x14ac:dyDescent="0.3"/>
  <cols>
    <col min="2" max="2" width="1.33203125" customWidth="1"/>
    <col min="3" max="3" width="36.88671875" customWidth="1"/>
    <col min="4" max="5" width="14.44140625" bestFit="1" customWidth="1"/>
    <col min="6" max="6" width="1.33203125" customWidth="1"/>
    <col min="9" max="9" width="2.6640625" customWidth="1"/>
    <col min="10" max="10" width="17.33203125" customWidth="1"/>
    <col min="11" max="11" width="15.6640625" customWidth="1"/>
    <col min="12" max="12" width="2.6640625" customWidth="1"/>
  </cols>
  <sheetData>
    <row r="2" spans="2:12" ht="15" thickBot="1" x14ac:dyDescent="0.35"/>
    <row r="3" spans="2:12" ht="6.6" customHeight="1" thickBot="1" x14ac:dyDescent="0.35">
      <c r="B3" s="5"/>
      <c r="C3" s="6"/>
      <c r="D3" s="6"/>
      <c r="E3" s="6"/>
      <c r="F3" s="7"/>
      <c r="I3" s="5"/>
      <c r="J3" s="6"/>
      <c r="K3" s="6"/>
      <c r="L3" s="7"/>
    </row>
    <row r="4" spans="2:12" x14ac:dyDescent="0.3">
      <c r="B4" s="8"/>
      <c r="C4" s="40" t="s">
        <v>39</v>
      </c>
      <c r="D4" s="41"/>
      <c r="E4" s="42"/>
      <c r="F4" s="9"/>
      <c r="I4" s="8"/>
      <c r="J4" s="43" t="s">
        <v>19</v>
      </c>
      <c r="K4" s="44"/>
      <c r="L4" s="9"/>
    </row>
    <row r="5" spans="2:12" ht="15" thickBot="1" x14ac:dyDescent="0.35">
      <c r="B5" s="8"/>
      <c r="C5" s="37">
        <v>43830</v>
      </c>
      <c r="D5" s="38"/>
      <c r="E5" s="39"/>
      <c r="F5" s="9"/>
      <c r="I5" s="8"/>
      <c r="J5" s="37">
        <v>43830</v>
      </c>
      <c r="K5" s="39"/>
      <c r="L5" s="9"/>
    </row>
    <row r="6" spans="2:12" x14ac:dyDescent="0.3">
      <c r="B6" s="8"/>
      <c r="C6" s="10"/>
      <c r="D6" s="10"/>
      <c r="E6" s="10"/>
      <c r="F6" s="9"/>
      <c r="I6" s="8"/>
      <c r="J6" s="10"/>
      <c r="K6" s="10"/>
      <c r="L6" s="9"/>
    </row>
    <row r="7" spans="2:12" ht="28.8" x14ac:dyDescent="0.3">
      <c r="B7" s="8"/>
      <c r="C7" s="11"/>
      <c r="D7" s="29" t="s">
        <v>1</v>
      </c>
      <c r="E7" s="29" t="s">
        <v>37</v>
      </c>
      <c r="F7" s="9"/>
      <c r="I7" s="8"/>
      <c r="J7" s="11"/>
      <c r="K7" s="12" t="s">
        <v>17</v>
      </c>
      <c r="L7" s="9"/>
    </row>
    <row r="8" spans="2:12" x14ac:dyDescent="0.3">
      <c r="B8" s="8"/>
      <c r="C8" s="26" t="s">
        <v>12</v>
      </c>
      <c r="D8" s="27">
        <f>'Exhibit A - Tax Amounts'!G13</f>
        <v>-40748312.749364994</v>
      </c>
      <c r="E8" s="27">
        <f>'Exhibit A - Tax Amounts'!H13</f>
        <v>-51580142.720715195</v>
      </c>
      <c r="F8" s="9"/>
      <c r="I8" s="8"/>
      <c r="J8" s="11" t="s">
        <v>20</v>
      </c>
      <c r="K8" s="13">
        <f>'Exhibit A - Tax Amounts'!C8+'Exhibit A - Tax Amounts'!C9+'Exhibit A - Tax Amounts'!C10+'Exhibit A - Tax Amounts'!C11</f>
        <v>-82419166.280000001</v>
      </c>
      <c r="L8" s="9"/>
    </row>
    <row r="9" spans="2:12" x14ac:dyDescent="0.3">
      <c r="B9" s="8"/>
      <c r="C9" s="26" t="s">
        <v>13</v>
      </c>
      <c r="D9" s="28">
        <f>'Exhibit A - Tax Amounts'!I13</f>
        <v>-21941399.172734998</v>
      </c>
      <c r="E9" s="28">
        <f>'Exhibit A - Tax Amounts'!J13</f>
        <v>-27773923.003462024</v>
      </c>
      <c r="F9" s="9"/>
      <c r="I9" s="8"/>
      <c r="J9" s="11" t="s">
        <v>21</v>
      </c>
      <c r="K9" s="13">
        <f>'Exhibit A - Tax Amounts'!C4+'Exhibit A - Tax Amounts'!C5+'Exhibit A - Tax Amounts'!C6+'Exhibit A - Tax Amounts'!C7</f>
        <v>-23790157.060000002</v>
      </c>
      <c r="L9" s="9"/>
    </row>
    <row r="10" spans="2:12" ht="15" thickBot="1" x14ac:dyDescent="0.35">
      <c r="B10" s="8"/>
      <c r="C10" s="26" t="s">
        <v>14</v>
      </c>
      <c r="D10" s="28">
        <f>'Exhibit A - Tax Amounts'!M13</f>
        <v>-19653292.042999998</v>
      </c>
      <c r="E10" s="28">
        <f>'Exhibit A - Tax Amounts'!N13</f>
        <v>-24877584.864556961</v>
      </c>
      <c r="F10" s="9"/>
      <c r="I10" s="8"/>
      <c r="J10" s="11"/>
      <c r="K10" s="14">
        <f>SUM(K8:K9)</f>
        <v>-106209323.34</v>
      </c>
      <c r="L10" s="9"/>
    </row>
    <row r="11" spans="2:12" ht="15" thickBot="1" x14ac:dyDescent="0.35">
      <c r="B11" s="8"/>
      <c r="C11" s="26" t="s">
        <v>15</v>
      </c>
      <c r="D11" s="28">
        <f>'Exhibit A - Tax Amounts'!O13</f>
        <v>-8422839.4470000006</v>
      </c>
      <c r="E11" s="28">
        <f>'Exhibit A - Tax Amounts'!P13</f>
        <v>-10661822.084810127</v>
      </c>
      <c r="F11" s="9"/>
      <c r="I11" s="15"/>
      <c r="J11" s="16"/>
      <c r="K11" s="16"/>
      <c r="L11" s="17"/>
    </row>
    <row r="12" spans="2:12" x14ac:dyDescent="0.3">
      <c r="B12" s="8"/>
      <c r="C12" s="26" t="s">
        <v>16</v>
      </c>
      <c r="D12" s="28">
        <f>'Exhibit A - Tax Amounts'!Q13</f>
        <v>-15443479.93</v>
      </c>
      <c r="E12" s="28">
        <f>'Exhibit A - Tax Amounts'!R13</f>
        <v>-19548708.772151895</v>
      </c>
      <c r="F12" s="9"/>
    </row>
    <row r="13" spans="2:12" ht="15" thickBot="1" x14ac:dyDescent="0.35">
      <c r="B13" s="8"/>
      <c r="C13" s="11"/>
      <c r="D13" s="14">
        <f>SUM(D8:D12)</f>
        <v>-106209323.34209999</v>
      </c>
      <c r="E13" s="14">
        <f>SUM(E8:E12)</f>
        <v>-134442181.4456962</v>
      </c>
      <c r="F13" s="9"/>
    </row>
    <row r="14" spans="2:12" ht="6.6" customHeight="1" thickBot="1" x14ac:dyDescent="0.35">
      <c r="B14" s="15"/>
      <c r="C14" s="16"/>
      <c r="D14" s="16"/>
      <c r="E14" s="16"/>
      <c r="F14" s="17"/>
    </row>
    <row r="16" spans="2:12" ht="15" thickBot="1" x14ac:dyDescent="0.35"/>
    <row r="17" spans="2:6" ht="6" customHeight="1" thickBot="1" x14ac:dyDescent="0.35">
      <c r="B17" s="5"/>
      <c r="C17" s="6"/>
      <c r="D17" s="6"/>
      <c r="E17" s="6"/>
      <c r="F17" s="7"/>
    </row>
    <row r="18" spans="2:6" x14ac:dyDescent="0.3">
      <c r="B18" s="8"/>
      <c r="C18" s="40" t="s">
        <v>40</v>
      </c>
      <c r="D18" s="41"/>
      <c r="E18" s="42"/>
      <c r="F18" s="9"/>
    </row>
    <row r="19" spans="2:6" ht="15" thickBot="1" x14ac:dyDescent="0.35">
      <c r="B19" s="8"/>
      <c r="C19" s="37" t="s">
        <v>18</v>
      </c>
      <c r="D19" s="38"/>
      <c r="E19" s="39"/>
      <c r="F19" s="9"/>
    </row>
    <row r="20" spans="2:6" x14ac:dyDescent="0.3">
      <c r="B20" s="8"/>
      <c r="C20" s="10"/>
      <c r="D20" s="10"/>
      <c r="E20" s="10"/>
      <c r="F20" s="9"/>
    </row>
    <row r="21" spans="2:6" ht="28.8" x14ac:dyDescent="0.3">
      <c r="B21" s="8"/>
      <c r="C21" s="11"/>
      <c r="D21" s="29" t="s">
        <v>1</v>
      </c>
      <c r="E21" s="29" t="s">
        <v>37</v>
      </c>
      <c r="F21" s="9"/>
    </row>
    <row r="22" spans="2:6" x14ac:dyDescent="0.3">
      <c r="B22" s="8"/>
      <c r="C22" s="26" t="s">
        <v>12</v>
      </c>
      <c r="D22" s="27">
        <f>'Exhibit A - Tax Amounts'!G20</f>
        <v>-5179775.3167828266</v>
      </c>
      <c r="E22" s="27">
        <f>'Exhibit A - Tax Amounts'!H20</f>
        <v>-6556677.6161807934</v>
      </c>
      <c r="F22" s="9"/>
    </row>
    <row r="23" spans="2:6" x14ac:dyDescent="0.3">
      <c r="B23" s="8"/>
      <c r="C23" s="26" t="s">
        <v>13</v>
      </c>
      <c r="D23" s="28">
        <f>'Exhibit A - Tax Amounts'!I20</f>
        <v>-2789109.7859599832</v>
      </c>
      <c r="E23" s="28">
        <f>'Exhibit A - Tax Amounts'!J20</f>
        <v>-3530518.7164050415</v>
      </c>
      <c r="F23" s="9"/>
    </row>
    <row r="24" spans="2:6" x14ac:dyDescent="0.3">
      <c r="B24" s="8"/>
      <c r="C24" s="26" t="s">
        <v>14</v>
      </c>
      <c r="D24" s="28">
        <f>'Exhibit A - Tax Amounts'!M20</f>
        <v>-2624992.8545850585</v>
      </c>
      <c r="E24" s="28">
        <f>'Exhibit A - Tax Amounts'!N20</f>
        <v>-3322775.7652975423</v>
      </c>
      <c r="F24" s="9"/>
    </row>
    <row r="25" spans="2:6" x14ac:dyDescent="0.3">
      <c r="B25" s="8"/>
      <c r="C25" s="26" t="s">
        <v>15</v>
      </c>
      <c r="D25" s="28">
        <f>'Exhibit A - Tax Amounts'!O20</f>
        <v>-1124996.9376793108</v>
      </c>
      <c r="E25" s="28">
        <f>'Exhibit A - Tax Amounts'!P20</f>
        <v>-1424046.7565560893</v>
      </c>
      <c r="F25" s="9"/>
    </row>
    <row r="26" spans="2:6" x14ac:dyDescent="0.3">
      <c r="B26" s="8"/>
      <c r="C26" s="26" t="s">
        <v>16</v>
      </c>
      <c r="D26" s="28">
        <f>'Exhibit A - Tax Amounts'!Q20</f>
        <v>-1240031.8545428207</v>
      </c>
      <c r="E26" s="28">
        <f>'Exhibit A - Tax Amounts'!R20</f>
        <v>-1569660.5753706589</v>
      </c>
      <c r="F26" s="9"/>
    </row>
    <row r="27" spans="2:6" ht="15" thickBot="1" x14ac:dyDescent="0.35">
      <c r="B27" s="8"/>
      <c r="C27" s="11"/>
      <c r="D27" s="14">
        <f>SUM(D22:D26)</f>
        <v>-12958906.74955</v>
      </c>
      <c r="E27" s="14">
        <f>SUM(E22:E26)</f>
        <v>-16403679.429810125</v>
      </c>
      <c r="F27" s="9"/>
    </row>
    <row r="28" spans="2:6" ht="7.2" customHeight="1" thickBot="1" x14ac:dyDescent="0.35">
      <c r="B28" s="15"/>
      <c r="C28" s="16"/>
      <c r="D28" s="16"/>
      <c r="E28" s="16"/>
      <c r="F28" s="17"/>
    </row>
  </sheetData>
  <mergeCells count="6">
    <mergeCell ref="C19:E19"/>
    <mergeCell ref="C4:E4"/>
    <mergeCell ref="J4:K4"/>
    <mergeCell ref="C5:E5"/>
    <mergeCell ref="J5:K5"/>
    <mergeCell ref="C18:E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Exhibit A - Tax Amounts</vt:lpstr>
      <vt:lpstr>Table -not exhibit</vt:lpstr>
      <vt:lpstr>'Exhibit A - Tax Amounts'!Print_Area</vt:lpstr>
      <vt:lpstr>'Exhibit A - Tax Amounts'!Print_Titles</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Pluth, Jeanne</dc:creator>
  <cp:lastModifiedBy>Pluth, Jeanne</cp:lastModifiedBy>
  <cp:lastPrinted>2020-10-21T20:09:24Z</cp:lastPrinted>
  <dcterms:created xsi:type="dcterms:W3CDTF">2020-04-14T14:12:04Z</dcterms:created>
  <dcterms:modified xsi:type="dcterms:W3CDTF">2020-10-21T20:09:29Z</dcterms:modified>
</cp:coreProperties>
</file>